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605" windowHeight="89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<sst xmlns="http://schemas.openxmlformats.org/spreadsheetml/2006/main" count="1868" uniqueCount="664">
  <si>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</si>
  <si>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</si>
  <si>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</si>
  <si>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</si>
  <si>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</si>
  <si>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</si>
  <si>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</si>
  <si>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</si>
  <si>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</si>
  <si>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</si>
  <si>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</si>
  <si>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</si>
  <si>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</si>
  <si>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</si>
  <si>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</si>
  <si>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</si>
  <si>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</si>
  <si>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</si>
  <si>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</si>
  <si>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</si>
  <si>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</si>
  <si>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</si>
  <si>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</si>
  <si>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</si>
  <si>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</si>
  <si>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</si>
  <si>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</si>
  <si>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</si>
  <si>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</si>
  <si>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</si>
  <si>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</si>
  <si>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</si>
  <si>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</si>
  <si>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</si>
  <si>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</si>
  <si>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</si>
  <si>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</si>
  <si>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</si>
  <si>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</si>
  <si>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</si>
  <si>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</si>
  <si>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</si>
  <si>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</si>
  <si>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</si>
  <si>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</si>
  <si>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</si>
  <si>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</si>
  <si>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</si>
  <si>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</si>
  <si>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</si>
  <si>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</si>
  <si>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</si>
  <si>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</si>
  <si>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</si>
  <si>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</si>
  <si>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</si>
  <si>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</si>
  <si>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</si>
  <si>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</si>
  <si>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</si>
  <si>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</si>
  <si>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</si>
  <si>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</si>
  <si>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</si>
  <si>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</si>
  <si>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</si>
  <si>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</si>
  <si>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</si>
  <si>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</si>
  <si>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</si>
  <si>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</si>
  <si>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</si>
  <si>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</si>
  <si>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</si>
  <si>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</si>
  <si>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</si>
  <si>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</si>
  <si>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</si>
  <si>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</si>
  <si>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</si>
  <si>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</si>
  <si>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</si>
  <si>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</si>
  <si>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</si>
  <si>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</si>
  <si>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</si>
  <si>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</si>
  <si>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</si>
  <si>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</si>
  <si>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</si>
  <si>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</si>
  <si>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</si>
  <si>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</si>
  <si>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</si>
  <si>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</si>
  <si>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</si>
  <si>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</si>
  <si>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</si>
  <si>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</si>
  <si>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</si>
  <si>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</si>
  <si>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</si>
  <si>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</si>
  <si>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</si>
  <si>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</si>
  <si>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</si>
  <si>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</si>
  <si>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</si>
  <si>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</si>
  <si>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</si>
  <si>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</si>
  <si>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</si>
  <si>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</si>
  <si>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</si>
  <si>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</si>
  <si>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</si>
  <si>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</si>
  <si>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</si>
  <si>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</si>
  <si>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</si>
  <si>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</si>
  <si>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</si>
  <si>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</si>
  <si>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</si>
  <si>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</si>
  <si>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</si>
  <si>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</si>
  <si>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</si>
  <si>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</si>
  <si>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</si>
  <si>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</si>
  <si>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</si>
  <si>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</si>
  <si>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</si>
  <si>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</si>
  <si>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</si>
  <si>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</si>
  <si>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</si>
  <si>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</si>
  <si>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</si>
  <si>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</si>
  <si>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</si>
  <si>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</si>
  <si>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</si>
  <si>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</si>
  <si>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</si>
  <si>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</si>
  <si>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</si>
  <si>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</si>
  <si>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</si>
  <si>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</si>
  <si>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</si>
  <si>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</si>
  <si>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</si>
  <si>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</si>
  <si>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</si>
  <si>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</si>
  <si>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</si>
  <si>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</si>
  <si>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</si>
  <si>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</si>
  <si>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</si>
  <si>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</si>
  <si>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</si>
  <si>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</si>
  <si>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</si>
  <si>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</si>
  <si>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</si>
  <si>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</si>
  <si>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</si>
  <si>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</si>
  <si>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</si>
  <si>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</si>
  <si>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</si>
  <si>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</si>
  <si>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</si>
  <si>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</si>
  <si>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</si>
  <si>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</si>
  <si>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</si>
  <si>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</si>
  <si>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</si>
  <si>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</si>
  <si>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</si>
  <si>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</si>
  <si>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</si>
  <si>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</si>
  <si>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</si>
  <si>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</si>
  <si>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</si>
  <si>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</si>
  <si>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</si>
  <si>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</si>
  <si>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</si>
  <si>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</si>
  <si>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</si>
  <si>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</si>
  <si>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</si>
  <si>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</si>
  <si>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</si>
  <si>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</si>
  <si>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</si>
  <si>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</si>
  <si>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</si>
  <si>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</si>
  <si>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</si>
  <si>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</si>
  <si>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</si>
  <si>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</si>
  <si>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</si>
  <si>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</si>
  <si>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</si>
  <si>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</si>
  <si>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</si>
  <si>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</si>
  <si>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</si>
  <si>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</si>
  <si>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</si>
  <si>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</si>
  <si>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</si>
  <si>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</si>
  <si>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</si>
  <si>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</si>
  <si>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</si>
  <si>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</si>
  <si>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</si>
  <si>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</si>
  <si>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</si>
  <si>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</si>
  <si>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</si>
  <si>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</si>
  <si>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</si>
  <si>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</si>
  <si>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</si>
  <si>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</si>
  <si>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</si>
  <si>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</si>
  <si>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</si>
  <si>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</si>
  <si>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</si>
  <si>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</si>
  <si>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</si>
  <si>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</si>
  <si>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</si>
  <si>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</si>
  <si>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</si>
  <si>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</si>
  <si>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</si>
  <si>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</si>
  <si>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</si>
  <si>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</si>
  <si>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</si>
  <si>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</si>
  <si>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</si>
  <si>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</si>
  <si>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</si>
  <si>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</si>
  <si>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</si>
  <si>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</si>
  <si>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</si>
  <si>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</si>
  <si>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</si>
  <si>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</si>
  <si>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</si>
  <si>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</si>
  <si>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</si>
  <si>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</si>
  <si>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</si>
  <si>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</si>
  <si>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</si>
  <si>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</si>
  <si>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</si>
  <si>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</si>
  <si>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</si>
  <si>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</si>
  <si>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</si>
  <si>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</si>
  <si>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</si>
  <si>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</si>
  <si>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</si>
  <si>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</si>
  <si>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</si>
  <si>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</si>
  <si>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</si>
  <si>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</si>
  <si>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</si>
  <si>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</si>
  <si>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</si>
  <si>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</si>
  <si>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</si>
  <si>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</si>
  <si>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</si>
  <si>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</si>
  <si>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</si>
  <si>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</si>
  <si>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</si>
  <si>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</si>
  <si>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</si>
  <si>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</si>
  <si>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</si>
  <si>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</si>
  <si>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</si>
  <si>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</si>
  <si>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</si>
  <si>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</si>
  <si>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</si>
  <si>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</si>
  <si>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</si>
  <si>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</si>
  <si>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</si>
  <si>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</si>
  <si>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</si>
  <si>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</si>
  <si>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</si>
  <si>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</si>
  <si>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</si>
  <si>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</si>
  <si>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</si>
  <si>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</si>
  <si>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</si>
  <si>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</si>
  <si>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</si>
  <si>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</si>
  <si>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</si>
  <si>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</si>
  <si>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</si>
  <si>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</si>
  <si>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</si>
  <si>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</si>
  <si>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</si>
  <si>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</si>
  <si>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</si>
  <si>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</si>
  <si>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</si>
  <si>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</si>
  <si>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</si>
  <si>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</si>
  <si>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</si>
  <si>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</si>
  <si>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</si>
  <si>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</si>
  <si>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</si>
  <si>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</si>
  <si>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</si>
  <si>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</si>
  <si>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</si>
  <si>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</si>
  <si>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</si>
  <si>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</si>
  <si>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</si>
  <si>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</si>
  <si>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</si>
  <si>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</si>
  <si>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</si>
  <si>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</si>
  <si>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</si>
  <si>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</si>
  <si>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</si>
  <si>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</si>
  <si>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</si>
  <si>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</si>
  <si>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</si>
  <si>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</si>
  <si>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</si>
  <si>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</si>
  <si>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</si>
  <si>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</si>
  <si>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</si>
  <si>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</si>
  <si>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</si>
  <si>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</si>
  <si>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</si>
  <si>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</si>
  <si>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</si>
  <si>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</si>
  <si>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</si>
  <si>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</si>
  <si>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</si>
  <si>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</si>
  <si>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</si>
  <si>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</si>
  <si>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</si>
  <si>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</si>
  <si>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</si>
  <si>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</si>
  <si>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</si>
  <si>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</si>
  <si>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</si>
  <si>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</si>
  <si>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</si>
  <si>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</si>
  <si>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</si>
  <si>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</si>
  <si>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</si>
  <si>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</si>
  <si>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</si>
  <si>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</si>
  <si>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</si>
  <si>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</si>
  <si>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</si>
  <si>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</si>
  <si>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</si>
  <si>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</si>
  <si>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</si>
  <si>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</si>
  <si>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</si>
  <si>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</si>
  <si>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</si>
  <si>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</si>
  <si>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</si>
  <si>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</si>
  <si>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</si>
  <si>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</si>
  <si>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</si>
  <si>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</si>
  <si>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</si>
  <si>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</si>
  <si>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</si>
  <si>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</si>
  <si>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</si>
  <si>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</si>
  <si>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</si>
  <si>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</si>
  <si>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</si>
  <si>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</si>
  <si>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</si>
  <si>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</si>
  <si>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</si>
  <si>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</si>
  <si>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</si>
  <si>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</si>
  <si>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</si>
  <si>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</si>
  <si>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</si>
  <si>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</si>
  <si>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</si>
  <si>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</si>
  <si>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</si>
  <si>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</si>
  <si>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</si>
  <si>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</si>
  <si>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</si>
  <si>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</si>
  <si>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</si>
  <si>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</si>
  <si>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</si>
  <si>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</si>
  <si>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</si>
  <si>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</si>
  <si>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</si>
  <si>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</si>
  <si>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</si>
  <si>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</si>
  <si>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</si>
  <si>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</si>
  <si>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</si>
  <si>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</si>
  <si>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</si>
  <si>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</si>
  <si>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</si>
  <si>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</si>
  <si>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</si>
  <si>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</si>
  <si>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</si>
  <si>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</si>
  <si>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</si>
  <si>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</si>
  <si>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</si>
  <si>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</si>
  <si>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</si>
  <si>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</si>
  <si>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</si>
  <si>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</si>
  <si>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</si>
  <si>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</si>
  <si>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</si>
  <si>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</si>
  <si>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</si>
  <si>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</si>
  <si>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</si>
  <si>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</si>
  <si>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</si>
  <si>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</si>
  <si>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</si>
  <si>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</si>
  <si>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</si>
  <si>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</si>
  <si>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</si>
  <si>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</si>
  <si>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</si>
  <si>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</si>
  <si>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</si>
  <si>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</si>
  <si>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</si>
  <si>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</si>
  <si>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</si>
  <si>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</si>
  <si>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</si>
  <si>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</si>
  <si>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</si>
  <si>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</si>
  <si>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</si>
  <si>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</si>
  <si>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</si>
  <si>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</si>
  <si>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</si>
  <si>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</si>
  <si>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</si>
  <si>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</si>
  <si>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</si>
  <si>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</si>
  <si>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</si>
  <si>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</si>
  <si>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</si>
  <si>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</si>
  <si>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</si>
  <si>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</si>
  <si>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</si>
  <si>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</si>
  <si>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</si>
  <si>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</si>
  <si>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</si>
  <si>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</si>
  <si>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</si>
  <si>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</si>
  <si>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</si>
  <si>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</si>
  <si>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</si>
  <si>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</si>
  <si>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</si>
  <si>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</si>
  <si>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</si>
  <si>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</si>
  <si>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</si>
  <si>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</si>
  <si>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</si>
  <si>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</si>
  <si>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</si>
  <si>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</si>
  <si>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</si>
  <si>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</si>
  <si>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</si>
  <si>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</si>
  <si>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</si>
  <si>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</si>
  <si>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</si>
  <si>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</si>
  <si>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</si>
  <si>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</si>
  <si>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</si>
  <si>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</si>
  <si>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</si>
  <si>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</si>
  <si>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</si>
  <si>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</si>
  <si>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</si>
  <si>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</si>
  <si>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</si>
  <si>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</si>
  <si>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</si>
  <si>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</si>
  <si>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</si>
  <si>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</si>
  <si>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</si>
  <si>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</si>
  <si>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</si>
  <si>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</si>
  <si>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</si>
  <si>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</si>
  <si>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</si>
  <si>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</si>
  <si>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</si>
  <si>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</si>
  <si>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</si>
  <si>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</si>
  <si>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</si>
  <si>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</si>
  <si>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</si>
  <si>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</si>
  <si>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</si>
  <si>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</si>
  <si>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</si>
  <si>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</si>
  <si>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</si>
  <si>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</si>
  <si>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</si>
  <si>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</si>
  <si>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</si>
  <si>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</si>
  <si>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</si>
  <si>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</si>
  <si>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</si>
  <si>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</si>
  <si>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</si>
  <si>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</si>
  <si>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</si>
  <si>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</si>
  <si>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</si>
  <si>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</si>
  <si>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</si>
  <si>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</si>
  <si>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</si>
  <si>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</si>
  <si>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</si>
  <si>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</si>
  <si>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</si>
  <si>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</si>
  <si>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</si>
  <si>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</si>
  <si>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</si>
  <si>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</si>
  <si>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</si>
  <si>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</si>
  <si>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</si>
  <si>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</si>
  <si>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</si>
  <si>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</si>
  <si>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</si>
  <si>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</si>
  <si>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</si>
  <si>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</si>
  <si>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</si>
  <si>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</si>
  <si>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</si>
  <si>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</si>
  <si>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</si>
  <si>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</si>
  <si>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</si>
  <si>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</si>
  <si>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</si>
  <si>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</si>
  <si>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</si>
  <si>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</si>
  <si>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</si>
  <si>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</si>
  <si>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</si>
  <si>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</si>
  <si>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</si>
  <si>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</si>
  <si>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</si>
  <si>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</si>
  <si>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</si>
  <si>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</si>
  <si>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</si>
  <si>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</si>
  <si>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</si>
  <si>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</si>
  <si>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</si>
  <si>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</si>
  <si>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</si>
  <si>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</si>
  <si>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</si>
  <si>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</si>
  <si>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</si>
  <si>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</si>
  <si>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</si>
  <si>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</si>
  <si>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</si>
  <si>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</si>
  <si>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stanislav.tanushev@sirma.bg</t>
  </si>
  <si>
    <t>www.sirma.bg</t>
  </si>
  <si>
    <t>http://www.x3news.com/</t>
  </si>
  <si>
    <t>главен счетоводител</t>
  </si>
  <si>
    <t>Диана Петкова</t>
  </si>
</sst>
</file>

<file path=xl/styles.xml><?xml version="1.0" encoding="utf-8"?>
<styleSheet xmlns="http://schemas.openxmlformats.org/spreadsheetml/2006/main">
  <numFmts count="42">
    <numFmt numFmtId="5" formatCode="&quot;лв.&quot;#,##0;\-&quot;лв.&quot;#,##0"/>
    <numFmt numFmtId="6" formatCode="&quot;лв.&quot;#,##0;[Red]\-&quot;лв.&quot;#,##0"/>
    <numFmt numFmtId="7" formatCode="&quot;лв.&quot;#,##0.00;\-&quot;лв.&quot;#,##0.00"/>
    <numFmt numFmtId="8" formatCode="&quot;лв.&quot;#,##0.00;[Red]\-&quot;лв.&quot;#,##0.00"/>
    <numFmt numFmtId="42" formatCode="_-&quot;лв.&quot;* #,##0_-;\-&quot;лв.&quot;* #,##0_-;_-&quot;лв.&quot;* &quot;-&quot;_-;_-@_-"/>
    <numFmt numFmtId="41" formatCode="_-* #,##0_-;\-* #,##0_-;_-* &quot;-&quot;_-;_-@_-"/>
    <numFmt numFmtId="44" formatCode="_-&quot;лв.&quot;* #,##0.00_-;\-&quot;лв.&quot;* #,##0.00_-;_-&quot;лв.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626</v>
      </c>
      <c r="B1" s="2"/>
      <c r="Z1" s="427">
        <v>1</v>
      </c>
      <c r="AA1" s="428">
        <f>IF(ISBLANK(_endDate),"",_endDate)</f>
        <v>45199</v>
      </c>
    </row>
    <row r="2" spans="1:27" ht="15.75">
      <c r="A2" s="418" t="s">
        <v>650</v>
      </c>
      <c r="B2" s="413"/>
      <c r="Z2" s="427">
        <v>2</v>
      </c>
      <c r="AA2" s="428">
        <f>IF(ISBLANK(_pdeReportingDate),"",_pdeReportingDate)</f>
        <v>45258</v>
      </c>
    </row>
    <row r="3" spans="1:27" ht="15.75">
      <c r="A3" s="414" t="s">
        <v>624</v>
      </c>
      <c r="B3" s="415"/>
      <c r="Z3" s="427">
        <v>3</v>
      </c>
      <c r="AA3" s="428" t="str">
        <f>IF(ISBLANK(_authorName),"",_authorName)</f>
        <v>Диана Петкова</v>
      </c>
    </row>
    <row r="4" spans="1:2" ht="15.75">
      <c r="A4" s="412" t="s">
        <v>651</v>
      </c>
      <c r="B4" s="413"/>
    </row>
    <row r="5" spans="1:2" ht="31.5">
      <c r="A5" s="416" t="s">
        <v>652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44927</v>
      </c>
    </row>
    <row r="10" spans="1:2" ht="15.75">
      <c r="A10" s="7" t="s">
        <v>2</v>
      </c>
      <c r="B10" s="313">
        <v>45199</v>
      </c>
    </row>
    <row r="11" spans="1:2" ht="15.75">
      <c r="A11" s="7" t="s">
        <v>638</v>
      </c>
      <c r="B11" s="313">
        <v>45258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2" t="s">
        <v>654</v>
      </c>
    </row>
    <row r="15" spans="1:2" ht="15.75">
      <c r="A15" s="10" t="s">
        <v>630</v>
      </c>
      <c r="B15" s="314" t="s">
        <v>588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/>
    </row>
    <row r="22" spans="1:2" ht="15.75">
      <c r="A22" s="10" t="s">
        <v>583</v>
      </c>
      <c r="B22" s="314"/>
    </row>
    <row r="23" spans="1:2" ht="15.75">
      <c r="A23" s="10" t="s">
        <v>7</v>
      </c>
      <c r="B23" s="429" t="s">
        <v>659</v>
      </c>
    </row>
    <row r="24" spans="1:2" ht="15.75">
      <c r="A24" s="10" t="s">
        <v>584</v>
      </c>
      <c r="B24" s="430" t="s">
        <v>660</v>
      </c>
    </row>
    <row r="25" spans="1:2" ht="15.75">
      <c r="A25" s="7" t="s">
        <v>587</v>
      </c>
      <c r="B25" s="431" t="s">
        <v>661</v>
      </c>
    </row>
    <row r="26" spans="1:2" ht="15.75">
      <c r="A26" s="10" t="s">
        <v>631</v>
      </c>
      <c r="B26" s="314" t="s">
        <v>663</v>
      </c>
    </row>
    <row r="27" spans="1:2" ht="15.75">
      <c r="A27" s="10" t="s">
        <v>632</v>
      </c>
      <c r="B27" s="314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H70" sqref="H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6389</v>
      </c>
      <c r="D13" s="119">
        <v>6421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v>1059</v>
      </c>
      <c r="D14" s="119">
        <v>1072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-1589</v>
      </c>
      <c r="H15" s="119">
        <v>-85</v>
      </c>
    </row>
    <row r="16" spans="1:8" ht="15.75">
      <c r="A16" s="66" t="s">
        <v>38</v>
      </c>
      <c r="B16" s="68" t="s">
        <v>39</v>
      </c>
      <c r="C16" s="119">
        <v>270</v>
      </c>
      <c r="D16" s="119">
        <v>101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306</v>
      </c>
      <c r="D17" s="119">
        <v>290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332</v>
      </c>
      <c r="D18" s="119">
        <v>20</v>
      </c>
      <c r="E18" s="246" t="s">
        <v>47</v>
      </c>
      <c r="F18" s="245" t="s">
        <v>48</v>
      </c>
      <c r="G18" s="343">
        <f>G12+G15+G16+G17</f>
        <v>57772</v>
      </c>
      <c r="H18" s="344">
        <f>H12+H15+H16+H17</f>
        <v>59276</v>
      </c>
    </row>
    <row r="19" spans="1:8" ht="15.75">
      <c r="A19" s="66" t="s">
        <v>49</v>
      </c>
      <c r="B19" s="68" t="s">
        <v>50</v>
      </c>
      <c r="C19" s="119">
        <v>1929</v>
      </c>
      <c r="D19" s="119">
        <v>1977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10285</v>
      </c>
      <c r="D20" s="332">
        <f>SUM(D12:D19)</f>
        <v>9881</v>
      </c>
      <c r="E20" s="66" t="s">
        <v>54</v>
      </c>
      <c r="F20" s="69" t="s">
        <v>55</v>
      </c>
      <c r="G20" s="119">
        <f>3184-19-66</f>
        <v>3099</v>
      </c>
      <c r="H20" s="119">
        <v>1761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4951</v>
      </c>
      <c r="H22" s="348">
        <f>SUM(H23:H25)</f>
        <v>5282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4949</v>
      </c>
      <c r="H23" s="119">
        <v>1421</v>
      </c>
    </row>
    <row r="24" spans="1:13" ht="15.75">
      <c r="A24" s="66" t="s">
        <v>67</v>
      </c>
      <c r="B24" s="68" t="s">
        <v>68</v>
      </c>
      <c r="C24" s="119">
        <v>3270</v>
      </c>
      <c r="D24" s="119">
        <v>3875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0</v>
      </c>
      <c r="D25" s="119">
        <v>725</v>
      </c>
      <c r="E25" s="66" t="s">
        <v>73</v>
      </c>
      <c r="F25" s="69" t="s">
        <v>74</v>
      </c>
      <c r="G25" s="119">
        <v>2</v>
      </c>
      <c r="H25" s="119">
        <v>3861</v>
      </c>
    </row>
    <row r="26" spans="1:13" ht="15.75">
      <c r="A26" s="66" t="s">
        <v>75</v>
      </c>
      <c r="B26" s="68" t="s">
        <v>76</v>
      </c>
      <c r="C26" s="119">
        <f>7346+5426</f>
        <v>12772</v>
      </c>
      <c r="D26" s="119">
        <v>10804</v>
      </c>
      <c r="E26" s="249" t="s">
        <v>77</v>
      </c>
      <c r="F26" s="71" t="s">
        <v>78</v>
      </c>
      <c r="G26" s="331">
        <f>G20+G21+G22</f>
        <v>8050</v>
      </c>
      <c r="H26" s="332">
        <f>H20+H21+H22</f>
        <v>7043</v>
      </c>
      <c r="M26" s="74"/>
    </row>
    <row r="27" spans="1:8" ht="15.75">
      <c r="A27" s="66" t="s">
        <v>79</v>
      </c>
      <c r="B27" s="68" t="s">
        <v>80</v>
      </c>
      <c r="C27" s="119">
        <v>4966</v>
      </c>
      <c r="D27" s="119">
        <v>5302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21008</v>
      </c>
      <c r="D28" s="332">
        <f>SUM(D24:D27)</f>
        <v>20706</v>
      </c>
      <c r="E28" s="124" t="s">
        <v>84</v>
      </c>
      <c r="F28" s="69" t="s">
        <v>85</v>
      </c>
      <c r="G28" s="329">
        <f>SUM(G29:G31)</f>
        <v>11906</v>
      </c>
      <c r="H28" s="330">
        <f>SUM(H29:H31)</f>
        <v>30561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v>11906</v>
      </c>
      <c r="H29" s="119">
        <v>30561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26252</v>
      </c>
      <c r="D31" s="119">
        <v>26083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-110</v>
      </c>
      <c r="H32" s="119"/>
      <c r="M32" s="74"/>
    </row>
    <row r="33" spans="1:8" ht="15.75">
      <c r="A33" s="247" t="s">
        <v>99</v>
      </c>
      <c r="B33" s="73" t="s">
        <v>100</v>
      </c>
      <c r="C33" s="331">
        <f>C31+C32</f>
        <v>26252</v>
      </c>
      <c r="D33" s="332">
        <f>D31+D32</f>
        <v>26083</v>
      </c>
      <c r="E33" s="122" t="s">
        <v>101</v>
      </c>
      <c r="F33" s="69" t="s">
        <v>102</v>
      </c>
      <c r="G33" s="119"/>
      <c r="H33" s="119">
        <v>-11493</v>
      </c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11796</v>
      </c>
      <c r="H34" s="332">
        <f>H28+H32+H33</f>
        <v>19068</v>
      </c>
    </row>
    <row r="35" spans="1:8" ht="15.75">
      <c r="A35" s="66" t="s">
        <v>106</v>
      </c>
      <c r="B35" s="70" t="s">
        <v>107</v>
      </c>
      <c r="C35" s="329">
        <f>SUM(C36:C39)</f>
        <v>0</v>
      </c>
      <c r="D35" s="330">
        <f>SUM(D36:D39)</f>
        <v>18502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3">
        <f>G26+G18+G34</f>
        <v>77618</v>
      </c>
      <c r="H37" s="334">
        <f>H26+H18+H34</f>
        <v>85387</v>
      </c>
    </row>
    <row r="38" spans="1:13" ht="15.75">
      <c r="A38" s="66" t="s">
        <v>113</v>
      </c>
      <c r="B38" s="68" t="s">
        <v>114</v>
      </c>
      <c r="C38" s="119"/>
      <c r="D38" s="118">
        <v>18502</v>
      </c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0</v>
      </c>
      <c r="D40" s="330">
        <f>D41+D42+D44</f>
        <v>0</v>
      </c>
      <c r="E40" s="137" t="s">
        <v>119</v>
      </c>
      <c r="F40" s="134" t="s">
        <v>120</v>
      </c>
      <c r="G40" s="317">
        <v>5084</v>
      </c>
      <c r="H40" s="317">
        <v>4995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>
        <v>336</v>
      </c>
      <c r="D45" s="119">
        <v>336</v>
      </c>
      <c r="E45" s="128" t="s">
        <v>135</v>
      </c>
      <c r="F45" s="69" t="s">
        <v>136</v>
      </c>
      <c r="G45" s="119">
        <v>1426</v>
      </c>
      <c r="H45" s="119">
        <v>8994</v>
      </c>
    </row>
    <row r="46" spans="1:13" ht="15.75">
      <c r="A46" s="238" t="s">
        <v>137</v>
      </c>
      <c r="B46" s="72" t="s">
        <v>138</v>
      </c>
      <c r="C46" s="331">
        <f>C35+C40+C45</f>
        <v>336</v>
      </c>
      <c r="D46" s="332">
        <f>D35+D40+D45</f>
        <v>18838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400</v>
      </c>
      <c r="H49" s="119">
        <v>400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1826</v>
      </c>
      <c r="H50" s="330">
        <f>SUM(H44:H49)</f>
        <v>9394</v>
      </c>
    </row>
    <row r="51" spans="1:8" ht="15.75">
      <c r="A51" s="66" t="s">
        <v>79</v>
      </c>
      <c r="B51" s="68" t="s">
        <v>155</v>
      </c>
      <c r="C51" s="119"/>
      <c r="D51" s="119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0</v>
      </c>
      <c r="D52" s="332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340</v>
      </c>
      <c r="H54" s="119">
        <v>327</v>
      </c>
    </row>
    <row r="55" spans="1:8" ht="15.75">
      <c r="A55" s="76" t="s">
        <v>166</v>
      </c>
      <c r="B55" s="72" t="s">
        <v>167</v>
      </c>
      <c r="C55" s="243">
        <v>818</v>
      </c>
      <c r="D55" s="243">
        <v>1278</v>
      </c>
      <c r="E55" s="66" t="s">
        <v>168</v>
      </c>
      <c r="F55" s="71" t="s">
        <v>169</v>
      </c>
      <c r="G55" s="119"/>
      <c r="H55" s="119"/>
    </row>
    <row r="56" spans="1:13" ht="16.5" thickBot="1">
      <c r="A56" s="240" t="s">
        <v>170</v>
      </c>
      <c r="B56" s="130" t="s">
        <v>171</v>
      </c>
      <c r="C56" s="335">
        <f>C20+C21+C22+C28+C33+C46+C52+C54+C55</f>
        <v>58699</v>
      </c>
      <c r="D56" s="336">
        <f>D20+D21+D22+D28+D33+D46+D52+D54+D55</f>
        <v>76786</v>
      </c>
      <c r="E56" s="76" t="s">
        <v>529</v>
      </c>
      <c r="F56" s="75" t="s">
        <v>172</v>
      </c>
      <c r="G56" s="333">
        <f>G50+G52+G53+G54+G55</f>
        <v>2166</v>
      </c>
      <c r="H56" s="334">
        <f>H50+H52+H53+H54+H55</f>
        <v>9721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82</v>
      </c>
      <c r="D59" s="119">
        <v>123</v>
      </c>
      <c r="E59" s="123" t="s">
        <v>180</v>
      </c>
      <c r="F59" s="251" t="s">
        <v>181</v>
      </c>
      <c r="G59" s="119">
        <f>632+621</f>
        <v>1253</v>
      </c>
      <c r="H59" s="119">
        <v>5841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1555</v>
      </c>
      <c r="D61" s="119">
        <v>437</v>
      </c>
      <c r="E61" s="122" t="s">
        <v>188</v>
      </c>
      <c r="F61" s="69" t="s">
        <v>189</v>
      </c>
      <c r="G61" s="329">
        <f>SUM(G62:G68)</f>
        <v>12162</v>
      </c>
      <c r="H61" s="330">
        <f>SUM(H62:H68)</f>
        <v>16289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891</v>
      </c>
      <c r="H62" s="119">
        <v>497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2624</v>
      </c>
      <c r="H64" s="119">
        <v>2634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1637</v>
      </c>
      <c r="D65" s="332">
        <f>SUM(D59:D64)</f>
        <v>560</v>
      </c>
      <c r="E65" s="66" t="s">
        <v>201</v>
      </c>
      <c r="F65" s="69" t="s">
        <v>202</v>
      </c>
      <c r="G65" s="119">
        <v>4889</v>
      </c>
      <c r="H65" s="119">
        <v>8119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2213</v>
      </c>
      <c r="H66" s="119">
        <v>3401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577</v>
      </c>
      <c r="H67" s="119">
        <v>572</v>
      </c>
    </row>
    <row r="68" spans="1:8" ht="15.75">
      <c r="A68" s="66" t="s">
        <v>206</v>
      </c>
      <c r="B68" s="68" t="s">
        <v>207</v>
      </c>
      <c r="C68" s="119">
        <v>483</v>
      </c>
      <c r="D68" s="119">
        <v>418</v>
      </c>
      <c r="E68" s="66" t="s">
        <v>212</v>
      </c>
      <c r="F68" s="69" t="s">
        <v>213</v>
      </c>
      <c r="G68" s="119">
        <f>945+23</f>
        <v>968</v>
      </c>
      <c r="H68" s="119">
        <v>1066</v>
      </c>
    </row>
    <row r="69" spans="1:8" ht="15.75">
      <c r="A69" s="66" t="s">
        <v>210</v>
      </c>
      <c r="B69" s="68" t="s">
        <v>211</v>
      </c>
      <c r="C69" s="119">
        <f>19184-C70</f>
        <v>16677</v>
      </c>
      <c r="D69" s="119">
        <v>16405</v>
      </c>
      <c r="E69" s="123" t="s">
        <v>79</v>
      </c>
      <c r="F69" s="69" t="s">
        <v>216</v>
      </c>
      <c r="G69" s="119">
        <v>113</v>
      </c>
      <c r="H69" s="119">
        <v>28</v>
      </c>
    </row>
    <row r="70" spans="1:8" ht="15.75">
      <c r="A70" s="66" t="s">
        <v>214</v>
      </c>
      <c r="B70" s="68" t="s">
        <v>215</v>
      </c>
      <c r="C70" s="119">
        <v>2507</v>
      </c>
      <c r="D70" s="119">
        <v>6167</v>
      </c>
      <c r="E70" s="66" t="s">
        <v>219</v>
      </c>
      <c r="F70" s="69" t="s">
        <v>220</v>
      </c>
      <c r="G70" s="119">
        <f>77+1623</f>
        <v>1700</v>
      </c>
      <c r="H70" s="119">
        <v>77</v>
      </c>
    </row>
    <row r="71" spans="1:8" ht="15.75">
      <c r="A71" s="66" t="s">
        <v>217</v>
      </c>
      <c r="B71" s="68" t="s">
        <v>218</v>
      </c>
      <c r="C71" s="119">
        <v>150</v>
      </c>
      <c r="D71" s="119">
        <v>150</v>
      </c>
      <c r="E71" s="239" t="s">
        <v>47</v>
      </c>
      <c r="F71" s="71" t="s">
        <v>223</v>
      </c>
      <c r="G71" s="331">
        <f>G59+G60+G61+G69+G70</f>
        <v>15228</v>
      </c>
      <c r="H71" s="332">
        <f>H59+H60+H61+H69+H70</f>
        <v>22235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490</v>
      </c>
      <c r="D73" s="119">
        <v>90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953</v>
      </c>
      <c r="D75" s="119">
        <v>315</v>
      </c>
      <c r="E75" s="250" t="s">
        <v>160</v>
      </c>
      <c r="F75" s="71" t="s">
        <v>233</v>
      </c>
      <c r="G75" s="243"/>
      <c r="H75" s="243"/>
    </row>
    <row r="76" spans="1:8" ht="15.75">
      <c r="A76" s="247" t="s">
        <v>77</v>
      </c>
      <c r="B76" s="72" t="s">
        <v>232</v>
      </c>
      <c r="C76" s="331">
        <f>SUM(C68:C75)</f>
        <v>21260</v>
      </c>
      <c r="D76" s="332">
        <f>SUM(D68:D75)</f>
        <v>23545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3255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15228</v>
      </c>
      <c r="H79" s="334">
        <f>H71+H73+H75+H77</f>
        <v>22235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>
        <v>3255</v>
      </c>
      <c r="D82" s="118"/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3255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77</v>
      </c>
      <c r="D88" s="119">
        <v>74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14665</v>
      </c>
      <c r="D89" s="119">
        <v>20860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71</v>
      </c>
      <c r="D90" s="119">
        <v>212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>
        <v>5</v>
      </c>
      <c r="D91" s="119"/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14818</v>
      </c>
      <c r="D92" s="332">
        <f>SUM(D88:D91)</f>
        <v>21146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427</v>
      </c>
      <c r="D93" s="243">
        <v>301</v>
      </c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41397</v>
      </c>
      <c r="D94" s="336">
        <f>D65+D76+D85+D92+D93</f>
        <v>45552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100096</v>
      </c>
      <c r="D95" s="338">
        <f>D94+D56</f>
        <v>122338</v>
      </c>
      <c r="E95" s="150" t="s">
        <v>605</v>
      </c>
      <c r="F95" s="254" t="s">
        <v>268</v>
      </c>
      <c r="G95" s="337">
        <f>G37+G40+G56+G79</f>
        <v>100096</v>
      </c>
      <c r="H95" s="338">
        <f>H37+H40+H56+H79</f>
        <v>122338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2" t="s">
        <v>638</v>
      </c>
      <c r="B98" s="433">
        <f>pdeReportingDate</f>
        <v>45258</v>
      </c>
      <c r="C98" s="433"/>
      <c r="D98" s="433"/>
      <c r="E98" s="433"/>
      <c r="F98" s="433"/>
      <c r="G98" s="433"/>
      <c r="H98" s="433"/>
      <c r="M98" s="74"/>
    </row>
    <row r="99" spans="1:13" ht="15.7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3" t="s">
        <v>8</v>
      </c>
      <c r="B100" s="434" t="str">
        <f>authorName</f>
        <v>Диана Петкова</v>
      </c>
      <c r="C100" s="434"/>
      <c r="D100" s="434"/>
      <c r="E100" s="434"/>
      <c r="F100" s="434"/>
      <c r="G100" s="434"/>
      <c r="H100" s="434"/>
    </row>
    <row r="101" spans="1:8" ht="15.75">
      <c r="A101" s="423"/>
      <c r="B101" s="57"/>
      <c r="C101" s="57"/>
      <c r="D101" s="57"/>
      <c r="E101" s="57"/>
      <c r="F101" s="57"/>
      <c r="G101" s="57"/>
      <c r="H101" s="57"/>
    </row>
    <row r="102" spans="1:8" ht="15.7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640</v>
      </c>
      <c r="C103" s="432"/>
      <c r="D103" s="432"/>
      <c r="E103" s="432"/>
      <c r="M103" s="74"/>
    </row>
    <row r="104" spans="1:5" ht="21.75" customHeight="1">
      <c r="A104" s="424"/>
      <c r="B104" s="432" t="s">
        <v>640</v>
      </c>
      <c r="C104" s="432"/>
      <c r="D104" s="432"/>
      <c r="E104" s="432"/>
    </row>
    <row r="105" spans="1:13" ht="21.75" customHeight="1">
      <c r="A105" s="424"/>
      <c r="B105" s="432" t="s">
        <v>640</v>
      </c>
      <c r="C105" s="432"/>
      <c r="D105" s="432"/>
      <c r="E105" s="432"/>
      <c r="M105" s="74"/>
    </row>
    <row r="106" spans="1:5" ht="21.75" customHeight="1">
      <c r="A106" s="424"/>
      <c r="B106" s="432" t="s">
        <v>640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48" sqref="D48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1011</v>
      </c>
      <c r="D12" s="234">
        <v>1471</v>
      </c>
      <c r="E12" s="116" t="s">
        <v>277</v>
      </c>
      <c r="F12" s="161" t="s">
        <v>278</v>
      </c>
      <c r="G12" s="234"/>
      <c r="H12" s="234"/>
    </row>
    <row r="13" spans="1:8" ht="15.75">
      <c r="A13" s="116" t="s">
        <v>279</v>
      </c>
      <c r="B13" s="112" t="s">
        <v>280</v>
      </c>
      <c r="C13" s="234">
        <v>9425</v>
      </c>
      <c r="D13" s="234">
        <v>9521</v>
      </c>
      <c r="E13" s="116" t="s">
        <v>281</v>
      </c>
      <c r="F13" s="161" t="s">
        <v>282</v>
      </c>
      <c r="G13" s="234">
        <v>19645</v>
      </c>
      <c r="H13" s="234">
        <v>16183</v>
      </c>
    </row>
    <row r="14" spans="1:8" ht="15.75">
      <c r="A14" s="116" t="s">
        <v>283</v>
      </c>
      <c r="B14" s="112" t="s">
        <v>284</v>
      </c>
      <c r="C14" s="234">
        <v>2747</v>
      </c>
      <c r="D14" s="234">
        <v>4979</v>
      </c>
      <c r="E14" s="166" t="s">
        <v>285</v>
      </c>
      <c r="F14" s="161" t="s">
        <v>286</v>
      </c>
      <c r="G14" s="234">
        <v>39814</v>
      </c>
      <c r="H14" s="234">
        <v>40482</v>
      </c>
    </row>
    <row r="15" spans="1:8" ht="15.75">
      <c r="A15" s="116" t="s">
        <v>287</v>
      </c>
      <c r="B15" s="112" t="s">
        <v>288</v>
      </c>
      <c r="C15" s="234">
        <v>25794</v>
      </c>
      <c r="D15" s="234">
        <v>24161</v>
      </c>
      <c r="E15" s="166" t="s">
        <v>79</v>
      </c>
      <c r="F15" s="161" t="s">
        <v>289</v>
      </c>
      <c r="G15" s="234">
        <f>13+334</f>
        <v>347</v>
      </c>
      <c r="H15" s="234">
        <v>477</v>
      </c>
    </row>
    <row r="16" spans="1:8" ht="15.75">
      <c r="A16" s="116" t="s">
        <v>290</v>
      </c>
      <c r="B16" s="112" t="s">
        <v>291</v>
      </c>
      <c r="C16" s="234">
        <v>2919</v>
      </c>
      <c r="D16" s="234">
        <v>2751</v>
      </c>
      <c r="E16" s="157" t="s">
        <v>52</v>
      </c>
      <c r="F16" s="185" t="s">
        <v>292</v>
      </c>
      <c r="G16" s="362">
        <f>SUM(G12:G15)</f>
        <v>59806</v>
      </c>
      <c r="H16" s="363">
        <f>SUM(H12:H15)</f>
        <v>57142</v>
      </c>
    </row>
    <row r="17" spans="1:8" ht="31.5">
      <c r="A17" s="116" t="s">
        <v>293</v>
      </c>
      <c r="B17" s="112" t="s">
        <v>294</v>
      </c>
      <c r="C17" s="234">
        <v>17152</v>
      </c>
      <c r="D17" s="234">
        <v>14370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-1832</v>
      </c>
      <c r="D18" s="234">
        <v>-20</v>
      </c>
      <c r="E18" s="155" t="s">
        <v>297</v>
      </c>
      <c r="F18" s="159" t="s">
        <v>298</v>
      </c>
      <c r="G18" s="373">
        <v>17</v>
      </c>
      <c r="H18" s="373">
        <v>975</v>
      </c>
    </row>
    <row r="19" spans="1:8" ht="15.75">
      <c r="A19" s="116" t="s">
        <v>299</v>
      </c>
      <c r="B19" s="112" t="s">
        <v>300</v>
      </c>
      <c r="C19" s="234">
        <v>1238</v>
      </c>
      <c r="D19" s="234">
        <v>1002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58454</v>
      </c>
      <c r="D22" s="363">
        <f>SUM(D12:D18)+D19</f>
        <v>58235</v>
      </c>
      <c r="E22" s="116" t="s">
        <v>309</v>
      </c>
      <c r="F22" s="158" t="s">
        <v>310</v>
      </c>
      <c r="G22" s="234">
        <v>8</v>
      </c>
      <c r="H22" s="234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94</v>
      </c>
      <c r="H24" s="234">
        <v>543</v>
      </c>
    </row>
    <row r="25" spans="1:8" ht="31.5">
      <c r="A25" s="116" t="s">
        <v>316</v>
      </c>
      <c r="B25" s="158" t="s">
        <v>317</v>
      </c>
      <c r="C25" s="234">
        <v>130</v>
      </c>
      <c r="D25" s="234">
        <v>235</v>
      </c>
      <c r="E25" s="116" t="s">
        <v>318</v>
      </c>
      <c r="F25" s="158" t="s">
        <v>319</v>
      </c>
      <c r="G25" s="234">
        <v>50</v>
      </c>
      <c r="H25" s="234">
        <v>203</v>
      </c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>
        <v>1</v>
      </c>
      <c r="H26" s="234"/>
    </row>
    <row r="27" spans="1:8" ht="31.5">
      <c r="A27" s="116" t="s">
        <v>324</v>
      </c>
      <c r="B27" s="158" t="s">
        <v>325</v>
      </c>
      <c r="C27" s="234">
        <v>168</v>
      </c>
      <c r="D27" s="234">
        <v>132</v>
      </c>
      <c r="E27" s="157" t="s">
        <v>104</v>
      </c>
      <c r="F27" s="159" t="s">
        <v>326</v>
      </c>
      <c r="G27" s="362">
        <f>SUM(G22:G26)</f>
        <v>153</v>
      </c>
      <c r="H27" s="363">
        <f>SUM(H22:H26)</f>
        <v>746</v>
      </c>
    </row>
    <row r="28" spans="1:8" ht="15.75">
      <c r="A28" s="116" t="s">
        <v>79</v>
      </c>
      <c r="B28" s="158" t="s">
        <v>327</v>
      </c>
      <c r="C28" s="234">
        <v>105</v>
      </c>
      <c r="D28" s="234">
        <v>119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403</v>
      </c>
      <c r="D29" s="363">
        <f>SUM(D25:D28)</f>
        <v>486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58857</v>
      </c>
      <c r="D31" s="369">
        <f>D29+D22</f>
        <v>58721</v>
      </c>
      <c r="E31" s="172" t="s">
        <v>521</v>
      </c>
      <c r="F31" s="187" t="s">
        <v>331</v>
      </c>
      <c r="G31" s="174">
        <f>G16+G18+G27</f>
        <v>59976</v>
      </c>
      <c r="H31" s="175">
        <f>H16+H18+H27</f>
        <v>58863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1119</v>
      </c>
      <c r="D33" s="165">
        <f>IF((H31-D31)&gt;0,H31-D31,0)</f>
        <v>142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>
        <v>596</v>
      </c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>
        <v>6534</v>
      </c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58857</v>
      </c>
      <c r="D36" s="371">
        <f>D31-D34+D35</f>
        <v>64659</v>
      </c>
      <c r="E36" s="183" t="s">
        <v>346</v>
      </c>
      <c r="F36" s="177" t="s">
        <v>347</v>
      </c>
      <c r="G36" s="188">
        <f>G35-G34+G31</f>
        <v>59976</v>
      </c>
      <c r="H36" s="189">
        <f>H35-H34+H31</f>
        <v>58863</v>
      </c>
    </row>
    <row r="37" spans="1:8" ht="15.75">
      <c r="A37" s="182" t="s">
        <v>348</v>
      </c>
      <c r="B37" s="152" t="s">
        <v>349</v>
      </c>
      <c r="C37" s="368">
        <f>IF((G36-C36)&gt;0,G36-C36,0)</f>
        <v>1119</v>
      </c>
      <c r="D37" s="369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5796</v>
      </c>
    </row>
    <row r="38" spans="1:8" ht="15.75">
      <c r="A38" s="155" t="s">
        <v>352</v>
      </c>
      <c r="B38" s="159" t="s">
        <v>353</v>
      </c>
      <c r="C38" s="362">
        <f>C39+C40+C41</f>
        <v>515</v>
      </c>
      <c r="D38" s="363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>
        <v>33</v>
      </c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>
        <v>482</v>
      </c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604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5796</v>
      </c>
    </row>
    <row r="43" spans="1:8" ht="15.75">
      <c r="A43" s="154" t="s">
        <v>364</v>
      </c>
      <c r="B43" s="108" t="s">
        <v>365</v>
      </c>
      <c r="C43" s="234">
        <v>714</v>
      </c>
      <c r="D43" s="234"/>
      <c r="E43" s="154" t="s">
        <v>364</v>
      </c>
      <c r="F43" s="117" t="s">
        <v>366</v>
      </c>
      <c r="G43" s="319"/>
      <c r="H43" s="372">
        <v>687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110</v>
      </c>
      <c r="H44" s="189">
        <f>IF(D42=0,IF(H42-H43&gt;0,H42-H43+D43,0),IF(D42-D43&lt;0,D43-D42+H43,0))</f>
        <v>5109</v>
      </c>
    </row>
    <row r="45" spans="1:8" ht="16.5" thickBot="1">
      <c r="A45" s="191" t="s">
        <v>371</v>
      </c>
      <c r="B45" s="192" t="s">
        <v>372</v>
      </c>
      <c r="C45" s="364">
        <f>C36+C38+C42</f>
        <v>59976</v>
      </c>
      <c r="D45" s="365">
        <f>D36+D38+D42</f>
        <v>64659</v>
      </c>
      <c r="E45" s="191" t="s">
        <v>373</v>
      </c>
      <c r="F45" s="193" t="s">
        <v>374</v>
      </c>
      <c r="G45" s="364">
        <f>G42+G36</f>
        <v>59976</v>
      </c>
      <c r="H45" s="365">
        <f>H42+H36</f>
        <v>64659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6" t="s">
        <v>639</v>
      </c>
      <c r="B47" s="436"/>
      <c r="C47" s="436"/>
      <c r="D47" s="436"/>
      <c r="E47" s="436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2" t="s">
        <v>638</v>
      </c>
      <c r="B50" s="433">
        <f>pdeReportingDate</f>
        <v>45258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3" t="s">
        <v>8</v>
      </c>
      <c r="B52" s="434" t="str">
        <f>authorName</f>
        <v>Диана Петкова</v>
      </c>
      <c r="C52" s="434"/>
      <c r="D52" s="434"/>
      <c r="E52" s="434"/>
      <c r="F52" s="434"/>
      <c r="G52" s="434"/>
      <c r="H52" s="434"/>
    </row>
    <row r="53" spans="1:8" s="35" customFormat="1" ht="15.7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640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640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640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640</v>
      </c>
      <c r="C58" s="432"/>
      <c r="D58" s="432"/>
      <c r="E58" s="432"/>
      <c r="F58" s="309"/>
      <c r="G58" s="37"/>
      <c r="H58" s="35"/>
    </row>
    <row r="59" spans="1:8" ht="15.75">
      <c r="A59" s="424"/>
      <c r="B59" s="432"/>
      <c r="C59" s="432"/>
      <c r="D59" s="432"/>
      <c r="E59" s="432"/>
      <c r="F59" s="309"/>
      <c r="G59" s="37"/>
      <c r="H59" s="35"/>
    </row>
    <row r="60" spans="1:8" ht="15.75">
      <c r="A60" s="424"/>
      <c r="B60" s="432"/>
      <c r="C60" s="432"/>
      <c r="D60" s="432"/>
      <c r="E60" s="432"/>
      <c r="F60" s="309"/>
      <c r="G60" s="37"/>
      <c r="H60" s="35"/>
    </row>
    <row r="61" spans="1:8" ht="15.75">
      <c r="A61" s="424"/>
      <c r="B61" s="432"/>
      <c r="C61" s="432"/>
      <c r="D61" s="432"/>
      <c r="E61" s="432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7">
      <selection activeCell="K29" sqref="K2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61126</v>
      </c>
      <c r="D11" s="119">
        <v>50408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-30384</v>
      </c>
      <c r="D12" s="119">
        <v>-34692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-25751</v>
      </c>
      <c r="D14" s="119">
        <v>-19283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-147</v>
      </c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-57</v>
      </c>
      <c r="D16" s="119">
        <v>-154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+-567-2463</f>
        <v>-3030</v>
      </c>
      <c r="D20" s="119">
        <v>-601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1757</v>
      </c>
      <c r="D21" s="392">
        <f>SUM(D11:D20)</f>
        <v>-4322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+-638-2605</f>
        <v>-3243</v>
      </c>
      <c r="D23" s="119">
        <v>-843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1244</v>
      </c>
      <c r="D24" s="119">
        <v>14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>
        <v>846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14</v>
      </c>
      <c r="D26" s="119">
        <v>-446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f>-3839-3216</f>
        <v>-7055</v>
      </c>
      <c r="D28" s="119">
        <v>-67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18502</v>
      </c>
      <c r="D29" s="119">
        <v>16438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>
        <v>8846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-41</v>
      </c>
      <c r="D31" s="119">
        <v>73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>
        <v>-936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9421</v>
      </c>
      <c r="D33" s="392">
        <f>SUM(D23:D32)</f>
        <v>23925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>
        <v>9447</v>
      </c>
      <c r="E35" s="99"/>
      <c r="F35" s="99"/>
    </row>
    <row r="36" spans="1:6" ht="15.75">
      <c r="A36" s="199" t="s">
        <v>425</v>
      </c>
      <c r="B36" s="100" t="s">
        <v>426</v>
      </c>
      <c r="C36" s="119">
        <v>-1253</v>
      </c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291</v>
      </c>
      <c r="D37" s="119">
        <v>5856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-12644</v>
      </c>
      <c r="D38" s="119">
        <v>-18891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+-601-20</f>
        <v>-621</v>
      </c>
      <c r="D39" s="119">
        <v>-428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-3279</v>
      </c>
      <c r="D40" s="119">
        <v>-919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-1087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-17506</v>
      </c>
      <c r="D43" s="394">
        <f>SUM(D35:D42)</f>
        <v>-6022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-6328</v>
      </c>
      <c r="D44" s="226">
        <f>D43+D33+D21</f>
        <v>13581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21146</v>
      </c>
      <c r="D45" s="227">
        <v>11353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14818</v>
      </c>
      <c r="D46" s="229">
        <f>D45+D44</f>
        <v>24934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f>+C46-C48</f>
        <v>14747</v>
      </c>
      <c r="D47" s="217">
        <v>24189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f>+'1-Баланс'!C90</f>
        <v>71</v>
      </c>
      <c r="D48" s="201">
        <v>745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0" t="s">
        <v>629</v>
      </c>
      <c r="G50" s="102"/>
      <c r="H50" s="102"/>
    </row>
    <row r="51" spans="1:8" ht="15.75">
      <c r="A51" s="437" t="s">
        <v>635</v>
      </c>
      <c r="B51" s="437"/>
      <c r="C51" s="437"/>
      <c r="D51" s="437"/>
      <c r="G51" s="102"/>
      <c r="H51" s="102"/>
    </row>
    <row r="52" spans="1:8" ht="15.75">
      <c r="A52" s="421"/>
      <c r="B52" s="421"/>
      <c r="C52" s="421"/>
      <c r="D52" s="421"/>
      <c r="G52" s="102"/>
      <c r="H52" s="102"/>
    </row>
    <row r="53" spans="1:8" ht="15.75">
      <c r="A53" s="421"/>
      <c r="B53" s="421"/>
      <c r="C53" s="421"/>
      <c r="D53" s="421"/>
      <c r="G53" s="102"/>
      <c r="H53" s="102"/>
    </row>
    <row r="54" spans="1:13" s="35" customFormat="1" ht="15.75">
      <c r="A54" s="422" t="s">
        <v>638</v>
      </c>
      <c r="B54" s="433">
        <f>pdeReportingDate</f>
        <v>45258</v>
      </c>
      <c r="C54" s="433"/>
      <c r="D54" s="433"/>
      <c r="E54" s="433"/>
      <c r="F54" s="425"/>
      <c r="G54" s="425"/>
      <c r="H54" s="425"/>
      <c r="M54" s="74"/>
    </row>
    <row r="55" spans="1:13" s="35" customFormat="1" ht="15.7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3" t="s">
        <v>8</v>
      </c>
      <c r="B56" s="434" t="str">
        <f>authorName</f>
        <v>Диана Петкова</v>
      </c>
      <c r="C56" s="434"/>
      <c r="D56" s="434"/>
      <c r="E56" s="434"/>
      <c r="F56" s="57"/>
      <c r="G56" s="57"/>
      <c r="H56" s="57"/>
    </row>
    <row r="57" spans="1:8" s="35" customFormat="1" ht="15.7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4"/>
      <c r="B59" s="432" t="s">
        <v>640</v>
      </c>
      <c r="C59" s="432"/>
      <c r="D59" s="432"/>
      <c r="E59" s="432"/>
      <c r="F59" s="309"/>
      <c r="G59" s="37"/>
      <c r="H59" s="35"/>
    </row>
    <row r="60" spans="1:8" ht="15.75">
      <c r="A60" s="424"/>
      <c r="B60" s="432" t="s">
        <v>640</v>
      </c>
      <c r="C60" s="432"/>
      <c r="D60" s="432"/>
      <c r="E60" s="432"/>
      <c r="F60" s="309"/>
      <c r="G60" s="37"/>
      <c r="H60" s="35"/>
    </row>
    <row r="61" spans="1:8" ht="15.75">
      <c r="A61" s="424"/>
      <c r="B61" s="432" t="s">
        <v>640</v>
      </c>
      <c r="C61" s="432"/>
      <c r="D61" s="432"/>
      <c r="E61" s="432"/>
      <c r="F61" s="309"/>
      <c r="G61" s="37"/>
      <c r="H61" s="35"/>
    </row>
    <row r="62" spans="1:8" ht="15.75">
      <c r="A62" s="424"/>
      <c r="B62" s="432" t="s">
        <v>640</v>
      </c>
      <c r="C62" s="432"/>
      <c r="D62" s="432"/>
      <c r="E62" s="432"/>
      <c r="F62" s="309"/>
      <c r="G62" s="37"/>
      <c r="H62" s="35"/>
    </row>
    <row r="63" spans="1:8" ht="15.75">
      <c r="A63" s="424"/>
      <c r="B63" s="432"/>
      <c r="C63" s="432"/>
      <c r="D63" s="432"/>
      <c r="E63" s="432"/>
      <c r="F63" s="309"/>
      <c r="G63" s="37"/>
      <c r="H63" s="35"/>
    </row>
    <row r="64" spans="1:8" ht="15.75">
      <c r="A64" s="424"/>
      <c r="B64" s="432"/>
      <c r="C64" s="432"/>
      <c r="D64" s="432"/>
      <c r="E64" s="432"/>
      <c r="F64" s="309"/>
      <c r="G64" s="37"/>
      <c r="H64" s="35"/>
    </row>
    <row r="65" spans="1:8" ht="15.75">
      <c r="A65" s="424"/>
      <c r="B65" s="432"/>
      <c r="C65" s="432"/>
      <c r="D65" s="432"/>
      <c r="E65" s="432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38" sqref="B38:H38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1.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1.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59276</v>
      </c>
      <c r="D13" s="318">
        <f>'1-Баланс'!H20</f>
        <v>1761</v>
      </c>
      <c r="E13" s="318">
        <f>'1-Баланс'!H21</f>
        <v>0</v>
      </c>
      <c r="F13" s="318">
        <f>'1-Баланс'!H23</f>
        <v>1421</v>
      </c>
      <c r="G13" s="318">
        <f>'1-Баланс'!H24</f>
        <v>0</v>
      </c>
      <c r="H13" s="319">
        <v>3861</v>
      </c>
      <c r="I13" s="318">
        <f>'1-Баланс'!H29+'1-Баланс'!H32</f>
        <v>30561</v>
      </c>
      <c r="J13" s="318">
        <f>'1-Баланс'!H30+'1-Баланс'!H33</f>
        <v>-11493</v>
      </c>
      <c r="K13" s="319"/>
      <c r="L13" s="318">
        <f>SUM(C13:K13)</f>
        <v>85387</v>
      </c>
      <c r="M13" s="320">
        <f>'1-Баланс'!H40</f>
        <v>4995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59276</v>
      </c>
      <c r="D17" s="386">
        <f aca="true" t="shared" si="2" ref="D17:M17">D13+D14</f>
        <v>1761</v>
      </c>
      <c r="E17" s="386">
        <f t="shared" si="2"/>
        <v>0</v>
      </c>
      <c r="F17" s="386">
        <f t="shared" si="2"/>
        <v>1421</v>
      </c>
      <c r="G17" s="386">
        <f t="shared" si="2"/>
        <v>0</v>
      </c>
      <c r="H17" s="386">
        <f t="shared" si="2"/>
        <v>3861</v>
      </c>
      <c r="I17" s="386">
        <f t="shared" si="2"/>
        <v>30561</v>
      </c>
      <c r="J17" s="386">
        <f t="shared" si="2"/>
        <v>-11493</v>
      </c>
      <c r="K17" s="386">
        <f t="shared" si="2"/>
        <v>0</v>
      </c>
      <c r="L17" s="318">
        <f t="shared" si="1"/>
        <v>85387</v>
      </c>
      <c r="M17" s="387">
        <f t="shared" si="2"/>
        <v>4995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-110</v>
      </c>
      <c r="J18" s="318">
        <f>+'1-Баланс'!G33</f>
        <v>0</v>
      </c>
      <c r="K18" s="319"/>
      <c r="L18" s="318">
        <f t="shared" si="1"/>
        <v>-110</v>
      </c>
      <c r="M18" s="372">
        <v>714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282</v>
      </c>
      <c r="G19" s="90">
        <f t="shared" si="3"/>
        <v>0</v>
      </c>
      <c r="H19" s="90">
        <f t="shared" si="3"/>
        <v>0</v>
      </c>
      <c r="I19" s="90">
        <f t="shared" si="3"/>
        <v>-3131</v>
      </c>
      <c r="J19" s="90">
        <f>J20+J21</f>
        <v>0</v>
      </c>
      <c r="K19" s="90">
        <f t="shared" si="3"/>
        <v>0</v>
      </c>
      <c r="L19" s="318">
        <f t="shared" si="1"/>
        <v>-2849</v>
      </c>
      <c r="M19" s="233">
        <f>M20+M21</f>
        <v>-404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>
        <v>-2849</v>
      </c>
      <c r="J20" s="234"/>
      <c r="K20" s="234"/>
      <c r="L20" s="318">
        <f>SUM(C20:K20)</f>
        <v>-2849</v>
      </c>
      <c r="M20" s="235">
        <v>-404</v>
      </c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>
        <v>282</v>
      </c>
      <c r="G21" s="234"/>
      <c r="H21" s="234"/>
      <c r="I21" s="234">
        <v>-282</v>
      </c>
      <c r="J21" s="234"/>
      <c r="K21" s="234"/>
      <c r="L21" s="318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>
        <v>-1504</v>
      </c>
      <c r="D30" s="234">
        <f>34+1370</f>
        <v>1404</v>
      </c>
      <c r="E30" s="234"/>
      <c r="F30" s="234">
        <v>3246</v>
      </c>
      <c r="G30" s="234"/>
      <c r="H30" s="234">
        <f>+-3796-129</f>
        <v>-3925</v>
      </c>
      <c r="I30" s="234">
        <v>-4031</v>
      </c>
      <c r="J30" s="234"/>
      <c r="K30" s="234"/>
      <c r="L30" s="318">
        <f t="shared" si="1"/>
        <v>-4810</v>
      </c>
      <c r="M30" s="235">
        <v>-221</v>
      </c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57772</v>
      </c>
      <c r="D31" s="386">
        <f aca="true" t="shared" si="6" ref="D31:M31">D19+D22+D23+D26+D30+D29+D17+D18</f>
        <v>3165</v>
      </c>
      <c r="E31" s="386">
        <f t="shared" si="6"/>
        <v>0</v>
      </c>
      <c r="F31" s="386">
        <f t="shared" si="6"/>
        <v>4949</v>
      </c>
      <c r="G31" s="386">
        <f t="shared" si="6"/>
        <v>0</v>
      </c>
      <c r="H31" s="386">
        <f t="shared" si="6"/>
        <v>-64</v>
      </c>
      <c r="I31" s="386">
        <f t="shared" si="6"/>
        <v>23289</v>
      </c>
      <c r="J31" s="386">
        <f t="shared" si="6"/>
        <v>-11493</v>
      </c>
      <c r="K31" s="386">
        <f t="shared" si="6"/>
        <v>0</v>
      </c>
      <c r="L31" s="318">
        <f t="shared" si="1"/>
        <v>77618</v>
      </c>
      <c r="M31" s="387">
        <f t="shared" si="6"/>
        <v>5084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57772</v>
      </c>
      <c r="D34" s="321">
        <f t="shared" si="7"/>
        <v>3165</v>
      </c>
      <c r="E34" s="321">
        <f t="shared" si="7"/>
        <v>0</v>
      </c>
      <c r="F34" s="321">
        <f t="shared" si="7"/>
        <v>4949</v>
      </c>
      <c r="G34" s="321">
        <f t="shared" si="7"/>
        <v>0</v>
      </c>
      <c r="H34" s="321">
        <f t="shared" si="7"/>
        <v>-64</v>
      </c>
      <c r="I34" s="321">
        <f t="shared" si="7"/>
        <v>23289</v>
      </c>
      <c r="J34" s="321">
        <f t="shared" si="7"/>
        <v>-11493</v>
      </c>
      <c r="K34" s="321">
        <f t="shared" si="7"/>
        <v>0</v>
      </c>
      <c r="L34" s="384">
        <f t="shared" si="1"/>
        <v>77618</v>
      </c>
      <c r="M34" s="322">
        <f>M31+M32+M33</f>
        <v>5084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2" t="s">
        <v>638</v>
      </c>
      <c r="B38" s="433">
        <f>pdeReportingDate</f>
        <v>45258</v>
      </c>
      <c r="C38" s="433"/>
      <c r="D38" s="433"/>
      <c r="E38" s="433"/>
      <c r="F38" s="433"/>
      <c r="G38" s="433"/>
      <c r="H38" s="433"/>
      <c r="M38" s="91"/>
    </row>
    <row r="39" spans="1:13" ht="15.7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3" t="s">
        <v>8</v>
      </c>
      <c r="B40" s="434" t="str">
        <f>authorName</f>
        <v>Диана Петкова</v>
      </c>
      <c r="C40" s="434"/>
      <c r="D40" s="434"/>
      <c r="E40" s="434"/>
      <c r="F40" s="434"/>
      <c r="G40" s="434"/>
      <c r="H40" s="434"/>
      <c r="M40" s="91"/>
    </row>
    <row r="41" spans="1:13" ht="15.7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4"/>
      <c r="B43" s="432" t="s">
        <v>640</v>
      </c>
      <c r="C43" s="432"/>
      <c r="D43" s="432"/>
      <c r="E43" s="432"/>
      <c r="F43" s="309"/>
      <c r="G43" s="37"/>
      <c r="H43" s="35"/>
      <c r="M43" s="91"/>
    </row>
    <row r="44" spans="1:13" ht="15.75">
      <c r="A44" s="424"/>
      <c r="B44" s="432" t="s">
        <v>640</v>
      </c>
      <c r="C44" s="432"/>
      <c r="D44" s="432"/>
      <c r="E44" s="432"/>
      <c r="F44" s="309"/>
      <c r="G44" s="37"/>
      <c r="H44" s="35"/>
      <c r="M44" s="91"/>
    </row>
    <row r="45" spans="1:13" ht="15.75">
      <c r="A45" s="424"/>
      <c r="B45" s="432" t="s">
        <v>640</v>
      </c>
      <c r="C45" s="432"/>
      <c r="D45" s="432"/>
      <c r="E45" s="432"/>
      <c r="F45" s="309"/>
      <c r="G45" s="37"/>
      <c r="H45" s="35"/>
      <c r="M45" s="91"/>
    </row>
    <row r="46" spans="1:13" ht="15.75">
      <c r="A46" s="424"/>
      <c r="B46" s="432" t="s">
        <v>640</v>
      </c>
      <c r="C46" s="432"/>
      <c r="D46" s="432"/>
      <c r="E46" s="432"/>
      <c r="F46" s="309"/>
      <c r="G46" s="37"/>
      <c r="H46" s="35"/>
      <c r="M46" s="91"/>
    </row>
    <row r="47" spans="1:13" ht="15.7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.7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.75">
      <c r="A49" s="424"/>
      <c r="B49" s="432"/>
      <c r="C49" s="432"/>
      <c r="D49" s="432"/>
      <c r="E49" s="432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597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01.01.2023 г. до 30.09.2023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598</v>
      </c>
      <c r="B5" s="404" t="s">
        <v>600</v>
      </c>
      <c r="C5" s="405" t="s">
        <v>602</v>
      </c>
      <c r="D5" s="406" t="s">
        <v>604</v>
      </c>
      <c r="E5" s="405" t="s">
        <v>603</v>
      </c>
      <c r="F5" s="404" t="s">
        <v>601</v>
      </c>
      <c r="G5" s="403" t="s">
        <v>599</v>
      </c>
    </row>
    <row r="6" spans="1:7" ht="18.75" customHeight="1">
      <c r="A6" s="409" t="s">
        <v>645</v>
      </c>
      <c r="B6" s="400" t="s">
        <v>609</v>
      </c>
      <c r="C6" s="407">
        <f>'1-Баланс'!C95</f>
        <v>100096</v>
      </c>
      <c r="D6" s="408">
        <f aca="true" t="shared" si="0" ref="D6:D15">C6-E6</f>
        <v>0</v>
      </c>
      <c r="E6" s="407">
        <f>'1-Баланс'!G95</f>
        <v>100096</v>
      </c>
      <c r="F6" s="401" t="s">
        <v>610</v>
      </c>
      <c r="G6" s="409" t="s">
        <v>645</v>
      </c>
    </row>
    <row r="7" spans="1:7" ht="18.75" customHeight="1">
      <c r="A7" s="409" t="s">
        <v>645</v>
      </c>
      <c r="B7" s="400" t="s">
        <v>608</v>
      </c>
      <c r="C7" s="407">
        <f>'1-Баланс'!G37</f>
        <v>77618</v>
      </c>
      <c r="D7" s="408">
        <f t="shared" si="0"/>
        <v>19846</v>
      </c>
      <c r="E7" s="407">
        <f>'1-Баланс'!G18</f>
        <v>57772</v>
      </c>
      <c r="F7" s="401" t="s">
        <v>455</v>
      </c>
      <c r="G7" s="409" t="s">
        <v>645</v>
      </c>
    </row>
    <row r="8" spans="1:7" ht="18.75" customHeight="1">
      <c r="A8" s="409" t="s">
        <v>645</v>
      </c>
      <c r="B8" s="400" t="s">
        <v>606</v>
      </c>
      <c r="C8" s="407">
        <f>ABS('1-Баланс'!G32)-ABS('1-Баланс'!G33)</f>
        <v>110</v>
      </c>
      <c r="D8" s="408">
        <f t="shared" si="0"/>
        <v>220</v>
      </c>
      <c r="E8" s="407">
        <f>ABS('2-Отчет за доходите'!C44)-ABS('2-Отчет за доходите'!G44)</f>
        <v>-110</v>
      </c>
      <c r="F8" s="401" t="s">
        <v>607</v>
      </c>
      <c r="G8" s="410" t="s">
        <v>647</v>
      </c>
    </row>
    <row r="9" spans="1:7" ht="18.75" customHeight="1">
      <c r="A9" s="409" t="s">
        <v>645</v>
      </c>
      <c r="B9" s="400" t="s">
        <v>612</v>
      </c>
      <c r="C9" s="407">
        <f>'1-Баланс'!D92</f>
        <v>21146</v>
      </c>
      <c r="D9" s="408">
        <f t="shared" si="0"/>
        <v>0</v>
      </c>
      <c r="E9" s="407">
        <f>'3-Отчет за паричния поток'!C45</f>
        <v>21146</v>
      </c>
      <c r="F9" s="401" t="s">
        <v>611</v>
      </c>
      <c r="G9" s="410" t="s">
        <v>646</v>
      </c>
    </row>
    <row r="10" spans="1:7" ht="18.75" customHeight="1">
      <c r="A10" s="409" t="s">
        <v>645</v>
      </c>
      <c r="B10" s="400" t="s">
        <v>613</v>
      </c>
      <c r="C10" s="407">
        <f>'1-Баланс'!C92</f>
        <v>14818</v>
      </c>
      <c r="D10" s="408">
        <f t="shared" si="0"/>
        <v>0</v>
      </c>
      <c r="E10" s="407">
        <f>'3-Отчет за паричния поток'!C46</f>
        <v>14818</v>
      </c>
      <c r="F10" s="401" t="s">
        <v>614</v>
      </c>
      <c r="G10" s="410" t="s">
        <v>646</v>
      </c>
    </row>
    <row r="11" spans="1:7" ht="18.75" customHeight="1">
      <c r="A11" s="409" t="s">
        <v>645</v>
      </c>
      <c r="B11" s="400" t="s">
        <v>608</v>
      </c>
      <c r="C11" s="407">
        <f>'1-Баланс'!G37</f>
        <v>77618</v>
      </c>
      <c r="D11" s="408">
        <f t="shared" si="0"/>
        <v>0</v>
      </c>
      <c r="E11" s="407">
        <f>'4-Отчет за собствения капитал'!L34</f>
        <v>77618</v>
      </c>
      <c r="F11" s="401" t="s">
        <v>615</v>
      </c>
      <c r="G11" s="410" t="s">
        <v>648</v>
      </c>
    </row>
    <row r="12" spans="1:7" ht="18.75" customHeight="1">
      <c r="A12" s="409" t="s">
        <v>645</v>
      </c>
      <c r="B12" s="400" t="s">
        <v>616</v>
      </c>
      <c r="C12" s="407">
        <f>'1-Баланс'!C36</f>
        <v>0</v>
      </c>
      <c r="D12" s="408" t="e">
        <f t="shared" si="0"/>
        <v>#REF!</v>
      </c>
      <c r="E12" s="407" t="e">
        <f>#REF!+#REF!</f>
        <v>#REF!</v>
      </c>
      <c r="F12" s="401" t="s">
        <v>620</v>
      </c>
      <c r="G12" s="410" t="s">
        <v>649</v>
      </c>
    </row>
    <row r="13" spans="1:7" ht="18.75" customHeight="1">
      <c r="A13" s="409" t="s">
        <v>645</v>
      </c>
      <c r="B13" s="400" t="s">
        <v>617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621</v>
      </c>
      <c r="G13" s="410" t="s">
        <v>649</v>
      </c>
    </row>
    <row r="14" spans="1:7" ht="18.75" customHeight="1">
      <c r="A14" s="409" t="s">
        <v>645</v>
      </c>
      <c r="B14" s="400" t="s">
        <v>618</v>
      </c>
      <c r="C14" s="407">
        <f>'1-Баланс'!C38</f>
        <v>0</v>
      </c>
      <c r="D14" s="408" t="e">
        <f t="shared" si="0"/>
        <v>#REF!</v>
      </c>
      <c r="E14" s="407" t="e">
        <f>#REF!+#REF!</f>
        <v>#REF!</v>
      </c>
      <c r="F14" s="401" t="s">
        <v>622</v>
      </c>
      <c r="G14" s="410" t="s">
        <v>649</v>
      </c>
    </row>
    <row r="15" spans="1:7" ht="18.75" customHeight="1">
      <c r="A15" s="409" t="s">
        <v>645</v>
      </c>
      <c r="B15" s="400" t="s">
        <v>619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623</v>
      </c>
      <c r="G15" s="410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0.001839280339765241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0.0014171970419232652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0.006324019776934575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0.0010989450127877238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1.019012182068403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2.7184791174152876</v>
      </c>
    </row>
    <row r="11" spans="1:4" ht="63">
      <c r="A11" s="326">
        <v>7</v>
      </c>
      <c r="B11" s="324" t="s">
        <v>564</v>
      </c>
      <c r="C11" s="325" t="s">
        <v>627</v>
      </c>
      <c r="D11" s="374">
        <f>('1-Баланс'!C76+'1-Баланс'!C85+'1-Баланс'!C92)/'1-Баланс'!G79</f>
        <v>2.5829393223010246</v>
      </c>
    </row>
    <row r="12" spans="1:4" ht="47.25">
      <c r="A12" s="326">
        <v>8</v>
      </c>
      <c r="B12" s="324" t="s">
        <v>565</v>
      </c>
      <c r="C12" s="325" t="s">
        <v>628</v>
      </c>
      <c r="D12" s="374">
        <f>('1-Баланс'!C85+'1-Баланс'!C92)/'1-Баланс'!G79</f>
        <v>1.1868268978198055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0.9730759127922248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1.8161554813240206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0.5974864130434783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595</v>
      </c>
      <c r="C18" s="325" t="s">
        <v>570</v>
      </c>
      <c r="D18" s="374">
        <f>'1-Баланс'!G56/('1-Баланс'!G37+'1-Баланс'!G56)</f>
        <v>0.027148300411109997</v>
      </c>
    </row>
    <row r="19" spans="1:4" ht="31.5">
      <c r="A19" s="326">
        <v>13</v>
      </c>
      <c r="B19" s="324" t="s">
        <v>596</v>
      </c>
      <c r="C19" s="325" t="s">
        <v>572</v>
      </c>
      <c r="D19" s="374">
        <f>D4/D5</f>
        <v>0.22409750315648433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0.17377317774936063</v>
      </c>
    </row>
    <row r="21" spans="1:5" ht="31.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1249</v>
      </c>
      <c r="E21" s="426"/>
    </row>
    <row r="22" spans="1:4" ht="63">
      <c r="A22" s="326">
        <v>16</v>
      </c>
      <c r="B22" s="324" t="s">
        <v>579</v>
      </c>
      <c r="C22" s="325" t="s">
        <v>580</v>
      </c>
      <c r="D22" s="380">
        <f>D21/'1-Баланс'!G37</f>
        <v>0.016091628230565074</v>
      </c>
    </row>
    <row r="23" spans="1:4" ht="31.5">
      <c r="A23" s="326">
        <v>17</v>
      </c>
      <c r="B23" s="324" t="s">
        <v>641</v>
      </c>
      <c r="C23" s="325" t="s">
        <v>642</v>
      </c>
      <c r="D23" s="380">
        <f>(D21+'2-Отчет за доходите'!C14)/'2-Отчет за доходите'!G31</f>
        <v>0.0666266506602641</v>
      </c>
    </row>
    <row r="24" spans="1:4" ht="31.5">
      <c r="A24" s="326">
        <v>18</v>
      </c>
      <c r="B24" s="324" t="s">
        <v>643</v>
      </c>
      <c r="C24" s="325" t="s">
        <v>644</v>
      </c>
      <c r="D24" s="380">
        <f>('1-Баланс'!G56+'1-Баланс'!G79)/(D21+'2-Отчет за доходите'!C14)</f>
        <v>4.352852852852853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6389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1059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270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306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332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1929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10285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3270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12772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4966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21008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26252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26252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336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818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58699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82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1555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1637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483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16677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2507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150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490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953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21260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3255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3255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3255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77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14665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71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14818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427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41397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100096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-1589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57772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3099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4951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4949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8050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11906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11906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-110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11796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77618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5084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1426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400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1826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340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2166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1253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12162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891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2624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4889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2213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577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968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113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1700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15228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15228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100096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1011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9425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2747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25794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2919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17152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-1832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1238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58454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130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168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105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403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58857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1119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58857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1119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515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33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482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604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714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59976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19645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39814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347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59806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17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8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94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50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153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59976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59976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110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59976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61126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-30384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-25751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-147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-57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0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-3030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1757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-3243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1244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14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-7055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18502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-41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9421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-1253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291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-12644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-621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-3279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-17506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45199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-6328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45199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21146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45199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14818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45199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14747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45199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71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45199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59276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45199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45199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45199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45199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59276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45199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45199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45199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45199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45199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45199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45199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45199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45199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45199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45199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45199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45199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-1504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45199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57772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45199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45199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45199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57772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45199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1761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45199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45199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45199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45199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1761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45199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45199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45199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45199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45199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45199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45199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45199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45199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45199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45199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45199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45199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1404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45199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3165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45199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45199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45199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3165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45199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45199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45199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45199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45199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45199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45199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45199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45199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45199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45199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45199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45199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45199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45199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45199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45199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45199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45199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45199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45199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45199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45199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1421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45199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45199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45199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45199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1421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45199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45199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282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45199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45199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282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45199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45199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45199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45199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45199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45199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45199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45199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45199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3246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45199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4949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45199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45199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45199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4949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45199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45199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45199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45199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45199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45199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45199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45199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45199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45199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45199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45199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45199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45199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45199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45199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45199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45199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45199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45199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45199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45199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45199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3861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45199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45199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45199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45199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3861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45199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45199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45199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45199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45199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45199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45199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45199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45199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45199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45199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45199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45199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-3925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45199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-64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45199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45199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45199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-64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45199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30561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45199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45199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45199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45199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30561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45199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-110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45199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-3131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45199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-2849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45199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-282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45199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45199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45199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45199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45199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45199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45199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45199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45199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-4031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45199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23289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45199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45199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45199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23289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45199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-11493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45199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45199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45199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45199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-11493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45199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45199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45199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45199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45199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45199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45199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45199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45199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45199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45199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45199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45199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45199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-11493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45199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45199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45199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-11493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45199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45199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45199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45199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45199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45199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45199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45199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45199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45199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45199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45199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45199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45199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45199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45199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45199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45199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45199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45199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45199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45199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45199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85387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45199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45199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45199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45199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85387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45199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-110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45199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-2849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45199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-2849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45199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45199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45199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45199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45199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45199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45199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45199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45199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45199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-4810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45199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77618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45199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45199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45199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77618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45199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4995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45199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45199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45199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45199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4995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45199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714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45199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-404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45199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-404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45199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45199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45199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45199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45199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45199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45199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45199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45199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45199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-221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45199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5084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45199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45199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45199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5084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 Baychev</cp:lastModifiedBy>
  <cp:lastPrinted>2016-09-14T10:20:26Z</cp:lastPrinted>
  <dcterms:created xsi:type="dcterms:W3CDTF">2006-09-16T00:00:00Z</dcterms:created>
  <dcterms:modified xsi:type="dcterms:W3CDTF">2023-11-27T14:07:09Z</dcterms:modified>
  <cp:category/>
  <cp:version/>
  <cp:contentType/>
  <cp:contentStatus/>
</cp:coreProperties>
</file>